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45" windowWidth="18075" windowHeight="11505"/>
  </bookViews>
  <sheets>
    <sheet name="DE_q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45621"/>
</workbook>
</file>

<file path=xl/calcChain.xml><?xml version="1.0" encoding="utf-8"?>
<calcChain xmlns="http://schemas.openxmlformats.org/spreadsheetml/2006/main">
  <c r="L1" i="1" l="1"/>
  <c r="J1" i="1"/>
  <c r="H1" i="1"/>
  <c r="F1" i="1"/>
  <c r="L39" i="1"/>
  <c r="L38" i="1"/>
  <c r="L37" i="1"/>
  <c r="L33" i="1"/>
  <c r="L32" i="1"/>
  <c r="L31" i="1"/>
  <c r="L30" i="1"/>
  <c r="L29" i="1"/>
  <c r="L28" i="1"/>
  <c r="L27" i="1"/>
  <c r="L26" i="1"/>
  <c r="L25" i="1"/>
  <c r="L24" i="1"/>
  <c r="L19" i="1"/>
  <c r="L18" i="1"/>
  <c r="L17" i="1"/>
  <c r="L16" i="1"/>
  <c r="L15" i="1"/>
  <c r="L14" i="1"/>
  <c r="L13" i="1"/>
  <c r="L12" i="1"/>
  <c r="L11" i="1"/>
  <c r="L6" i="1"/>
  <c r="L5" i="1"/>
  <c r="L4" i="1"/>
  <c r="J39" i="1"/>
  <c r="J38" i="1"/>
  <c r="J37" i="1"/>
  <c r="J33" i="1"/>
  <c r="J32" i="1"/>
  <c r="J31" i="1"/>
  <c r="J30" i="1"/>
  <c r="J29" i="1"/>
  <c r="J28" i="1"/>
  <c r="J27" i="1"/>
  <c r="J26" i="1"/>
  <c r="J25" i="1"/>
  <c r="J24" i="1"/>
  <c r="J19" i="1"/>
  <c r="J18" i="1"/>
  <c r="J17" i="1"/>
  <c r="J16" i="1"/>
  <c r="J15" i="1"/>
  <c r="J14" i="1"/>
  <c r="J13" i="1"/>
  <c r="J12" i="1"/>
  <c r="J11" i="1"/>
  <c r="J6" i="1"/>
  <c r="J5" i="1"/>
  <c r="J4" i="1"/>
  <c r="H39" i="1"/>
  <c r="H38" i="1"/>
  <c r="H37" i="1"/>
  <c r="H42" i="1" s="1"/>
  <c r="H33" i="1"/>
  <c r="H32" i="1"/>
  <c r="H31" i="1"/>
  <c r="H30" i="1"/>
  <c r="H29" i="1"/>
  <c r="H28" i="1"/>
  <c r="H27" i="1"/>
  <c r="H26" i="1"/>
  <c r="H25" i="1"/>
  <c r="H24" i="1"/>
  <c r="H19" i="1"/>
  <c r="H18" i="1"/>
  <c r="H17" i="1"/>
  <c r="H16" i="1"/>
  <c r="H15" i="1"/>
  <c r="H14" i="1"/>
  <c r="H13" i="1"/>
  <c r="H12" i="1"/>
  <c r="H11" i="1"/>
  <c r="H6" i="1"/>
  <c r="H5" i="1"/>
  <c r="H4" i="1"/>
  <c r="F39" i="1"/>
  <c r="F38" i="1"/>
  <c r="F37" i="1"/>
  <c r="F33" i="1"/>
  <c r="F32" i="1"/>
  <c r="F31" i="1"/>
  <c r="F30" i="1"/>
  <c r="F29" i="1"/>
  <c r="F28" i="1"/>
  <c r="F27" i="1"/>
  <c r="F26" i="1"/>
  <c r="F25" i="1"/>
  <c r="F24" i="1"/>
  <c r="F19" i="1"/>
  <c r="F18" i="1"/>
  <c r="F17" i="1"/>
  <c r="F16" i="1"/>
  <c r="F15" i="1"/>
  <c r="F14" i="1"/>
  <c r="F13" i="1"/>
  <c r="F12" i="1"/>
  <c r="F11" i="1"/>
  <c r="F6" i="1"/>
  <c r="F5" i="1"/>
  <c r="F4" i="1"/>
  <c r="D39" i="1"/>
  <c r="D38" i="1"/>
  <c r="D37" i="1"/>
  <c r="D42" i="1" s="1"/>
  <c r="E40" i="1" s="1"/>
  <c r="D33" i="1"/>
  <c r="D32" i="1"/>
  <c r="D31" i="1"/>
  <c r="D30" i="1"/>
  <c r="D29" i="1"/>
  <c r="D28" i="1"/>
  <c r="D27" i="1"/>
  <c r="D26" i="1"/>
  <c r="D25" i="1"/>
  <c r="D24" i="1"/>
  <c r="D19" i="1"/>
  <c r="D18" i="1"/>
  <c r="D17" i="1"/>
  <c r="D16" i="1"/>
  <c r="D15" i="1"/>
  <c r="D14" i="1"/>
  <c r="D13" i="1"/>
  <c r="D12" i="1"/>
  <c r="D11" i="1"/>
  <c r="D4" i="1"/>
  <c r="B39" i="1"/>
  <c r="B38" i="1"/>
  <c r="B37" i="1"/>
  <c r="B33" i="1"/>
  <c r="B32" i="1"/>
  <c r="B31" i="1"/>
  <c r="B30" i="1"/>
  <c r="B29" i="1"/>
  <c r="B28" i="1"/>
  <c r="B27" i="1"/>
  <c r="B26" i="1"/>
  <c r="B25" i="1"/>
  <c r="B24" i="1"/>
  <c r="B19" i="1"/>
  <c r="B18" i="1"/>
  <c r="B17" i="1"/>
  <c r="B16" i="1"/>
  <c r="B15" i="1"/>
  <c r="B14" i="1"/>
  <c r="B13" i="1"/>
  <c r="B12" i="1"/>
  <c r="B11" i="1"/>
  <c r="D1" i="1"/>
  <c r="D6" i="1"/>
  <c r="D5" i="1"/>
  <c r="D7" i="1" s="1"/>
  <c r="B6" i="1"/>
  <c r="B5" i="1"/>
  <c r="B4" i="1"/>
  <c r="B1" i="1"/>
  <c r="F7" i="1" l="1"/>
  <c r="G5" i="1" s="1"/>
  <c r="J20" i="1"/>
  <c r="K12" i="1" s="1"/>
  <c r="L20" i="1"/>
  <c r="M15" i="1" s="1"/>
  <c r="L34" i="1"/>
  <c r="M30" i="1" s="1"/>
  <c r="L7" i="1"/>
  <c r="H7" i="1"/>
  <c r="I6" i="1" s="1"/>
  <c r="D34" i="1"/>
  <c r="E32" i="1" s="1"/>
  <c r="J7" i="1"/>
  <c r="K4" i="1" s="1"/>
  <c r="J42" i="1"/>
  <c r="K37" i="1" s="1"/>
  <c r="L42" i="1"/>
  <c r="M38" i="1" s="1"/>
  <c r="F20" i="1"/>
  <c r="G16" i="1" s="1"/>
  <c r="B7" i="1"/>
  <c r="C4" i="1" s="1"/>
  <c r="F34" i="1"/>
  <c r="G29" i="1" s="1"/>
  <c r="H20" i="1"/>
  <c r="I11" i="1" s="1"/>
  <c r="H34" i="1"/>
  <c r="I31" i="1" s="1"/>
  <c r="F42" i="1"/>
  <c r="G38" i="1" s="1"/>
  <c r="J34" i="1"/>
  <c r="K24" i="1" s="1"/>
  <c r="E37" i="1"/>
  <c r="E38" i="1"/>
  <c r="M31" i="1"/>
  <c r="E6" i="1"/>
  <c r="E4" i="1"/>
  <c r="E7" i="1"/>
  <c r="K20" i="1"/>
  <c r="K14" i="1"/>
  <c r="E29" i="1"/>
  <c r="K6" i="1"/>
  <c r="K7" i="1"/>
  <c r="M27" i="1"/>
  <c r="M24" i="1"/>
  <c r="E26" i="1"/>
  <c r="M33" i="1"/>
  <c r="E39" i="1"/>
  <c r="G32" i="1"/>
  <c r="E5" i="1"/>
  <c r="B34" i="1"/>
  <c r="C31" i="1" s="1"/>
  <c r="D20" i="1"/>
  <c r="E13" i="1" s="1"/>
  <c r="I39" i="1"/>
  <c r="B42" i="1"/>
  <c r="C40" i="1" s="1"/>
  <c r="B20" i="1"/>
  <c r="C14" i="1" s="1"/>
  <c r="I40" i="1"/>
  <c r="K16" i="1"/>
  <c r="E14" i="1" l="1"/>
  <c r="K15" i="1"/>
  <c r="C33" i="1"/>
  <c r="I33" i="1"/>
  <c r="K17" i="1"/>
  <c r="K13" i="1"/>
  <c r="G12" i="1"/>
  <c r="G15" i="1"/>
  <c r="E34" i="1"/>
  <c r="G11" i="1"/>
  <c r="K34" i="1"/>
  <c r="E33" i="1"/>
  <c r="E31" i="1"/>
  <c r="K19" i="1"/>
  <c r="E27" i="1"/>
  <c r="E25" i="1"/>
  <c r="C30" i="1"/>
  <c r="G24" i="1"/>
  <c r="M25" i="1"/>
  <c r="M29" i="1"/>
  <c r="G18" i="1"/>
  <c r="M28" i="1"/>
  <c r="G14" i="1"/>
  <c r="K11" i="1"/>
  <c r="C7" i="1"/>
  <c r="M26" i="1"/>
  <c r="K18" i="1"/>
  <c r="K32" i="1"/>
  <c r="M34" i="1"/>
  <c r="M32" i="1"/>
  <c r="K31" i="1"/>
  <c r="K33" i="1"/>
  <c r="K39" i="1"/>
  <c r="I17" i="1"/>
  <c r="K38" i="1"/>
  <c r="I13" i="1"/>
  <c r="E28" i="1"/>
  <c r="G37" i="1"/>
  <c r="K26" i="1"/>
  <c r="I29" i="1"/>
  <c r="K40" i="1"/>
  <c r="I18" i="1"/>
  <c r="K27" i="1"/>
  <c r="K28" i="1"/>
  <c r="E30" i="1"/>
  <c r="K5" i="1"/>
  <c r="I25" i="1"/>
  <c r="C18" i="1"/>
  <c r="K25" i="1"/>
  <c r="I26" i="1"/>
  <c r="G31" i="1"/>
  <c r="E24" i="1"/>
  <c r="K29" i="1"/>
  <c r="I14" i="1"/>
  <c r="C29" i="1"/>
  <c r="G19" i="1"/>
  <c r="G17" i="1"/>
  <c r="C6" i="1"/>
  <c r="K30" i="1"/>
  <c r="C28" i="1"/>
  <c r="C5" i="1"/>
  <c r="M7" i="1"/>
  <c r="M5" i="1"/>
  <c r="M6" i="1"/>
  <c r="M4" i="1"/>
  <c r="C20" i="1"/>
  <c r="C15" i="1"/>
  <c r="C13" i="1"/>
  <c r="I4" i="1"/>
  <c r="I7" i="1"/>
  <c r="G34" i="1"/>
  <c r="G25" i="1"/>
  <c r="G33" i="1"/>
  <c r="E20" i="1"/>
  <c r="E12" i="1"/>
  <c r="E18" i="1"/>
  <c r="G4" i="1"/>
  <c r="G7" i="1"/>
  <c r="G6" i="1"/>
  <c r="C34" i="1"/>
  <c r="C26" i="1"/>
  <c r="C32" i="1"/>
  <c r="C24" i="1"/>
  <c r="M18" i="1"/>
  <c r="M20" i="1"/>
  <c r="C37" i="1"/>
  <c r="M14" i="1"/>
  <c r="I38" i="1"/>
  <c r="C25" i="1"/>
  <c r="G27" i="1"/>
  <c r="C19" i="1"/>
  <c r="C17" i="1"/>
  <c r="I34" i="1"/>
  <c r="I32" i="1"/>
  <c r="I24" i="1"/>
  <c r="I28" i="1"/>
  <c r="I5" i="1"/>
  <c r="M19" i="1"/>
  <c r="I16" i="1"/>
  <c r="I12" i="1"/>
  <c r="I20" i="1"/>
  <c r="C27" i="1"/>
  <c r="I27" i="1"/>
  <c r="G26" i="1"/>
  <c r="C11" i="1"/>
  <c r="M16" i="1"/>
  <c r="M13" i="1"/>
  <c r="G30" i="1"/>
  <c r="G39" i="1"/>
  <c r="G40" i="1"/>
  <c r="M17" i="1"/>
  <c r="C16" i="1"/>
  <c r="E16" i="1"/>
  <c r="E15" i="1"/>
  <c r="I15" i="1"/>
  <c r="C12" i="1"/>
  <c r="E19" i="1"/>
  <c r="E17" i="1"/>
  <c r="I30" i="1"/>
  <c r="M11" i="1"/>
  <c r="I19" i="1"/>
  <c r="G13" i="1"/>
  <c r="G20" i="1"/>
  <c r="C38" i="1"/>
  <c r="G28" i="1"/>
  <c r="M12" i="1"/>
  <c r="E11" i="1"/>
  <c r="C39" i="1"/>
  <c r="M37" i="1"/>
  <c r="M40" i="1"/>
  <c r="M39" i="1"/>
  <c r="I37" i="1"/>
</calcChain>
</file>

<file path=xl/sharedStrings.xml><?xml version="1.0" encoding="utf-8"?>
<sst xmlns="http://schemas.openxmlformats.org/spreadsheetml/2006/main" count="36" uniqueCount="34">
  <si>
    <t>Gender</t>
  </si>
  <si>
    <t>Female</t>
  </si>
  <si>
    <t>Male</t>
  </si>
  <si>
    <t>Uncollected</t>
  </si>
  <si>
    <t>Age</t>
  </si>
  <si>
    <t>&lt;18</t>
  </si>
  <si>
    <t>18-20</t>
  </si>
  <si>
    <t>21-25</t>
  </si>
  <si>
    <t>26-30</t>
  </si>
  <si>
    <t>31-40</t>
  </si>
  <si>
    <t>41-50</t>
  </si>
  <si>
    <t>51-60</t>
  </si>
  <si>
    <t>&gt;60</t>
  </si>
  <si>
    <t>Ethnicity</t>
  </si>
  <si>
    <t>African American</t>
  </si>
  <si>
    <t>American Indian/Alaskan Native</t>
  </si>
  <si>
    <t>Asian</t>
  </si>
  <si>
    <t>Filipino</t>
  </si>
  <si>
    <t>Hispanic</t>
  </si>
  <si>
    <t>Other Non-White</t>
  </si>
  <si>
    <t>Pacific Islander</t>
  </si>
  <si>
    <t>White</t>
  </si>
  <si>
    <t>Units Attempted</t>
  </si>
  <si>
    <t>0.1 - 6.0</t>
  </si>
  <si>
    <t>6.1 - 11.9</t>
  </si>
  <si>
    <t>12.0 or more</t>
  </si>
  <si>
    <t>TOTAL</t>
  </si>
  <si>
    <t>Quickfacts
DE Students</t>
  </si>
  <si>
    <t>Multiple Races</t>
  </si>
  <si>
    <t>*Counts are based on credit headcount as of first census.</t>
  </si>
  <si>
    <t>*Demographics are self reported at the time of application.</t>
  </si>
  <si>
    <t>*Age is calculated based upon the last day to drop a full term class w/out receiving a W grade.</t>
  </si>
  <si>
    <t>*The sum will not equate to the total in all categories due to unreported data.</t>
  </si>
  <si>
    <t>*Sections used were found with a room of ON LINE or HY BRID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</si>
</sst>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MS Reference Sans Serif"/>
      <family val="2"/>
    </font>
    <font>
      <sz val="10"/>
      <name val="MS Reference Sans Serif"/>
      <family val="2"/>
    </font>
    <font>
      <b/>
      <sz val="10"/>
      <color indexed="9"/>
      <name val="MS Reference Sans Serif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7" xfId="0" applyFont="1" applyBorder="1"/>
    <xf numFmtId="0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/>
    <xf numFmtId="3" fontId="3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Border="1"/>
    <xf numFmtId="3" fontId="1" fillId="0" borderId="10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164" fontId="1" fillId="0" borderId="8" xfId="0" applyNumberFormat="1" applyFont="1" applyBorder="1"/>
    <xf numFmtId="164" fontId="1" fillId="0" borderId="9" xfId="0" applyNumberFormat="1" applyFont="1" applyBorder="1"/>
    <xf numFmtId="3" fontId="1" fillId="0" borderId="5" xfId="0" applyNumberFormat="1" applyFont="1" applyBorder="1" applyAlignment="1">
      <alignment horizontal="center"/>
    </xf>
    <xf numFmtId="0" fontId="1" fillId="0" borderId="11" xfId="0" applyFont="1" applyBorder="1"/>
    <xf numFmtId="164" fontId="2" fillId="0" borderId="12" xfId="0" applyNumberFormat="1" applyFont="1" applyBorder="1"/>
    <xf numFmtId="3" fontId="2" fillId="0" borderId="2" xfId="0" quotePrefix="1" applyNumberFormat="1" applyFont="1" applyBorder="1" applyAlignment="1" applyProtection="1">
      <alignment horizontal="center"/>
      <protection locked="0"/>
    </xf>
    <xf numFmtId="164" fontId="2" fillId="0" borderId="3" xfId="0" quotePrefix="1" applyNumberFormat="1" applyFont="1" applyBorder="1"/>
    <xf numFmtId="3" fontId="2" fillId="0" borderId="2" xfId="0" quotePrefix="1" applyNumberFormat="1" applyFont="1" applyBorder="1" applyAlignment="1">
      <alignment horizontal="center"/>
    </xf>
    <xf numFmtId="3" fontId="2" fillId="0" borderId="0" xfId="0" quotePrefix="1" applyNumberFormat="1" applyFont="1" applyBorder="1" applyAlignment="1" applyProtection="1">
      <alignment horizontal="center"/>
      <protection locked="0"/>
    </xf>
    <xf numFmtId="164" fontId="2" fillId="0" borderId="11" xfId="0" quotePrefix="1" applyNumberFormat="1" applyFont="1" applyBorder="1"/>
    <xf numFmtId="3" fontId="2" fillId="0" borderId="0" xfId="0" quotePrefix="1" applyNumberFormat="1" applyFont="1" applyBorder="1" applyAlignment="1">
      <alignment horizontal="center"/>
    </xf>
    <xf numFmtId="3" fontId="3" fillId="0" borderId="10" xfId="0" quotePrefix="1" applyNumberFormat="1" applyFont="1" applyFill="1" applyBorder="1" applyAlignment="1">
      <alignment horizontal="center"/>
    </xf>
    <xf numFmtId="3" fontId="3" fillId="0" borderId="10" xfId="0" quotePrefix="1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3" fontId="2" fillId="0" borderId="0" xfId="0" quotePrefix="1" applyNumberFormat="1" applyFont="1" applyAlignment="1" applyProtection="1">
      <alignment horizontal="center"/>
      <protection locked="0"/>
    </xf>
    <xf numFmtId="164" fontId="0" fillId="0" borderId="0" xfId="0" quotePrefix="1" applyNumberFormat="1"/>
    <xf numFmtId="164" fontId="0" fillId="0" borderId="11" xfId="0" quotePrefix="1" applyNumberFormat="1" applyBorder="1"/>
    <xf numFmtId="3" fontId="1" fillId="0" borderId="12" xfId="0" quotePrefix="1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quotePrefix="1" applyNumberFormat="1" applyFont="1" applyBorder="1" applyAlignment="1">
      <alignment horizontal="center" vertical="center"/>
    </xf>
    <xf numFmtId="0" fontId="1" fillId="0" borderId="3" xfId="0" quotePrefix="1" applyNumberFormat="1" applyFont="1" applyBorder="1" applyAlignment="1">
      <alignment horizontal="center" vertical="center"/>
    </xf>
    <xf numFmtId="0" fontId="1" fillId="0" borderId="5" xfId="0" quotePrefix="1" applyNumberFormat="1" applyFont="1" applyBorder="1" applyAlignment="1">
      <alignment horizontal="center" vertical="center"/>
    </xf>
    <xf numFmtId="0" fontId="1" fillId="0" borderId="6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gender_1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age_1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age_1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age_12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ethnicity_1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ethnicity_11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ethnicity_1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ethnicity_12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ethnicity_11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ethnicity_12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credit_group_1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gender_11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credit_group_11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credit_group_11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credit_group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credit_group_11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credit_group_1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gender_1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gender_1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gender_1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gender_12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age_1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age_1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qf_de_sc_raw/sc_age_1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gender_107"/>
    </sheetNames>
    <sheetDataSet>
      <sheetData sheetId="0">
        <row r="2">
          <cell r="A2" t="str">
            <v>20107</v>
          </cell>
          <cell r="C2">
            <v>2918</v>
          </cell>
        </row>
        <row r="3">
          <cell r="C3">
            <v>1540</v>
          </cell>
        </row>
        <row r="4">
          <cell r="C4">
            <v>43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age_123"/>
    </sheetNames>
    <sheetDataSet>
      <sheetData sheetId="0">
        <row r="2">
          <cell r="C2">
            <v>75</v>
          </cell>
        </row>
        <row r="3">
          <cell r="C3">
            <v>1387</v>
          </cell>
        </row>
        <row r="4">
          <cell r="C4">
            <v>1230</v>
          </cell>
        </row>
        <row r="5">
          <cell r="C5">
            <v>636</v>
          </cell>
        </row>
        <row r="6">
          <cell r="C6">
            <v>736</v>
          </cell>
        </row>
        <row r="7">
          <cell r="C7">
            <v>438</v>
          </cell>
        </row>
        <row r="8">
          <cell r="C8">
            <v>152</v>
          </cell>
        </row>
        <row r="9">
          <cell r="C9">
            <v>26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age_115"/>
    </sheetNames>
    <sheetDataSet>
      <sheetData sheetId="0">
        <row r="2">
          <cell r="C2">
            <v>22</v>
          </cell>
        </row>
        <row r="3">
          <cell r="C3">
            <v>384</v>
          </cell>
        </row>
        <row r="4">
          <cell r="C4">
            <v>326</v>
          </cell>
        </row>
        <row r="5">
          <cell r="C5">
            <v>199</v>
          </cell>
        </row>
        <row r="6">
          <cell r="C6">
            <v>256</v>
          </cell>
        </row>
        <row r="7">
          <cell r="C7">
            <v>127</v>
          </cell>
        </row>
        <row r="8">
          <cell r="C8">
            <v>32</v>
          </cell>
        </row>
        <row r="9">
          <cell r="C9">
            <v>11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age_125"/>
    </sheetNames>
    <sheetDataSet>
      <sheetData sheetId="0">
        <row r="2">
          <cell r="C2">
            <v>35</v>
          </cell>
        </row>
        <row r="3">
          <cell r="C3">
            <v>462</v>
          </cell>
        </row>
        <row r="4">
          <cell r="C4">
            <v>426</v>
          </cell>
        </row>
        <row r="5">
          <cell r="C5">
            <v>218</v>
          </cell>
        </row>
        <row r="6">
          <cell r="C6">
            <v>246</v>
          </cell>
        </row>
        <row r="7">
          <cell r="C7">
            <v>143</v>
          </cell>
        </row>
        <row r="8">
          <cell r="C8">
            <v>51</v>
          </cell>
        </row>
        <row r="9">
          <cell r="C9">
            <v>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ethnicity_107"/>
    </sheetNames>
    <sheetDataSet>
      <sheetData sheetId="0">
        <row r="2">
          <cell r="C2">
            <v>655</v>
          </cell>
        </row>
        <row r="3">
          <cell r="C3">
            <v>37</v>
          </cell>
        </row>
        <row r="4">
          <cell r="C4">
            <v>60</v>
          </cell>
        </row>
        <row r="5">
          <cell r="C5">
            <v>49</v>
          </cell>
        </row>
        <row r="6">
          <cell r="C6">
            <v>1405</v>
          </cell>
        </row>
        <row r="7">
          <cell r="C7">
            <v>12</v>
          </cell>
        </row>
        <row r="8">
          <cell r="C8">
            <v>14</v>
          </cell>
        </row>
        <row r="9">
          <cell r="C9">
            <v>1928</v>
          </cell>
        </row>
        <row r="10">
          <cell r="C10">
            <v>125</v>
          </cell>
        </row>
        <row r="11">
          <cell r="C11">
            <v>216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ethnicity_117"/>
    </sheetNames>
    <sheetDataSet>
      <sheetData sheetId="0">
        <row r="2">
          <cell r="C2">
            <v>609</v>
          </cell>
        </row>
        <row r="3">
          <cell r="C3">
            <v>23</v>
          </cell>
        </row>
        <row r="4">
          <cell r="C4">
            <v>60</v>
          </cell>
        </row>
        <row r="5">
          <cell r="C5">
            <v>41</v>
          </cell>
        </row>
        <row r="6">
          <cell r="C6">
            <v>1439</v>
          </cell>
        </row>
        <row r="7">
          <cell r="C7">
            <v>7</v>
          </cell>
        </row>
        <row r="8">
          <cell r="C8">
            <v>13</v>
          </cell>
        </row>
        <row r="9">
          <cell r="C9">
            <v>1781</v>
          </cell>
        </row>
        <row r="10">
          <cell r="C10">
            <v>148</v>
          </cell>
        </row>
        <row r="11">
          <cell r="C11">
            <v>146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ethnicity_113"/>
    </sheetNames>
    <sheetDataSet>
      <sheetData sheetId="0">
        <row r="2">
          <cell r="C2">
            <v>632</v>
          </cell>
        </row>
        <row r="3">
          <cell r="C3">
            <v>23</v>
          </cell>
        </row>
        <row r="4">
          <cell r="C4">
            <v>64</v>
          </cell>
        </row>
        <row r="5">
          <cell r="C5">
            <v>47</v>
          </cell>
        </row>
        <row r="6">
          <cell r="C6">
            <v>1419</v>
          </cell>
        </row>
        <row r="7">
          <cell r="C7">
            <v>14</v>
          </cell>
        </row>
        <row r="8">
          <cell r="C8">
            <v>14</v>
          </cell>
        </row>
        <row r="9">
          <cell r="C9">
            <v>1955</v>
          </cell>
        </row>
        <row r="10">
          <cell r="C10">
            <v>138</v>
          </cell>
        </row>
        <row r="11">
          <cell r="C11">
            <v>191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ethnicity_123"/>
    </sheetNames>
    <sheetDataSet>
      <sheetData sheetId="0">
        <row r="2">
          <cell r="C2">
            <v>684</v>
          </cell>
        </row>
        <row r="3">
          <cell r="C3">
            <v>21</v>
          </cell>
        </row>
        <row r="4">
          <cell r="C4">
            <v>49</v>
          </cell>
        </row>
        <row r="5">
          <cell r="C5">
            <v>33</v>
          </cell>
        </row>
        <row r="6">
          <cell r="C6">
            <v>1645</v>
          </cell>
        </row>
        <row r="7">
          <cell r="C7">
            <v>7</v>
          </cell>
        </row>
        <row r="8">
          <cell r="C8">
            <v>14</v>
          </cell>
        </row>
        <row r="9">
          <cell r="C9">
            <v>1909</v>
          </cell>
        </row>
        <row r="10">
          <cell r="C10">
            <v>191</v>
          </cell>
        </row>
        <row r="11">
          <cell r="C11">
            <v>127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ethnicity_115"/>
    </sheetNames>
    <sheetDataSet>
      <sheetData sheetId="0">
        <row r="2">
          <cell r="C2">
            <v>207</v>
          </cell>
        </row>
        <row r="3">
          <cell r="C3">
            <v>9</v>
          </cell>
        </row>
        <row r="4">
          <cell r="C4">
            <v>17</v>
          </cell>
        </row>
        <row r="5">
          <cell r="C5">
            <v>10</v>
          </cell>
        </row>
        <row r="6">
          <cell r="C6">
            <v>471</v>
          </cell>
        </row>
        <row r="7">
          <cell r="C7">
            <v>2</v>
          </cell>
        </row>
        <row r="8">
          <cell r="C8">
            <v>4</v>
          </cell>
        </row>
        <row r="9">
          <cell r="C9">
            <v>531</v>
          </cell>
        </row>
        <row r="10">
          <cell r="C10">
            <v>48</v>
          </cell>
        </row>
        <row r="11">
          <cell r="C11">
            <v>58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ethnicity_125"/>
    </sheetNames>
    <sheetDataSet>
      <sheetData sheetId="0">
        <row r="2">
          <cell r="C2">
            <v>177</v>
          </cell>
        </row>
        <row r="3">
          <cell r="C3">
            <v>15</v>
          </cell>
        </row>
        <row r="4">
          <cell r="C4">
            <v>20</v>
          </cell>
        </row>
        <row r="5">
          <cell r="C5">
            <v>12</v>
          </cell>
        </row>
        <row r="6">
          <cell r="C6">
            <v>600</v>
          </cell>
        </row>
        <row r="7">
          <cell r="C7">
            <v>2</v>
          </cell>
        </row>
        <row r="8">
          <cell r="C8">
            <v>7</v>
          </cell>
        </row>
        <row r="9">
          <cell r="C9">
            <v>636</v>
          </cell>
        </row>
        <row r="10">
          <cell r="C10">
            <v>68</v>
          </cell>
        </row>
        <row r="11">
          <cell r="C11">
            <v>52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credit_group_107"/>
    </sheetNames>
    <sheetDataSet>
      <sheetData sheetId="0">
        <row r="2">
          <cell r="B2">
            <v>1130</v>
          </cell>
        </row>
        <row r="3">
          <cell r="B3">
            <v>1318</v>
          </cell>
        </row>
        <row r="4">
          <cell r="B4">
            <v>2053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gender_117"/>
    </sheetNames>
    <sheetDataSet>
      <sheetData sheetId="0">
        <row r="2">
          <cell r="A2" t="str">
            <v>20117</v>
          </cell>
          <cell r="C2">
            <v>2763</v>
          </cell>
        </row>
        <row r="3">
          <cell r="C3">
            <v>1465</v>
          </cell>
        </row>
        <row r="4">
          <cell r="C4">
            <v>39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credit_group_117"/>
    </sheetNames>
    <sheetDataSet>
      <sheetData sheetId="0">
        <row r="2">
          <cell r="B2">
            <v>937</v>
          </cell>
        </row>
        <row r="3">
          <cell r="B3">
            <v>1316</v>
          </cell>
        </row>
        <row r="4">
          <cell r="B4">
            <v>2014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credit_group_113"/>
    </sheetNames>
    <sheetDataSet>
      <sheetData sheetId="0">
        <row r="2">
          <cell r="B2">
            <v>1115</v>
          </cell>
        </row>
        <row r="3">
          <cell r="B3">
            <v>1350</v>
          </cell>
        </row>
        <row r="4">
          <cell r="B4">
            <v>2032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credit_group_123"/>
    </sheetNames>
    <sheetDataSet>
      <sheetData sheetId="0">
        <row r="2">
          <cell r="B2">
            <v>1095</v>
          </cell>
        </row>
        <row r="3">
          <cell r="B3">
            <v>1381</v>
          </cell>
        </row>
        <row r="4">
          <cell r="B4">
            <v>2204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credit_group_115"/>
    </sheetNames>
    <sheetDataSet>
      <sheetData sheetId="0">
        <row r="2">
          <cell r="B2">
            <v>1031</v>
          </cell>
        </row>
        <row r="3">
          <cell r="B3">
            <v>324</v>
          </cell>
        </row>
        <row r="4">
          <cell r="B4">
            <v>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credit_group_125"/>
    </sheetNames>
    <sheetDataSet>
      <sheetData sheetId="0">
        <row r="2">
          <cell r="B2">
            <v>1184</v>
          </cell>
        </row>
        <row r="3">
          <cell r="B3">
            <v>404</v>
          </cell>
        </row>
        <row r="4">
          <cell r="B4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gender_113"/>
    </sheetNames>
    <sheetDataSet>
      <sheetData sheetId="0">
        <row r="2">
          <cell r="A2" t="str">
            <v>20113</v>
          </cell>
          <cell r="C2">
            <v>2917</v>
          </cell>
        </row>
        <row r="3">
          <cell r="C3">
            <v>1545</v>
          </cell>
        </row>
        <row r="4">
          <cell r="C4">
            <v>35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gender_123"/>
    </sheetNames>
    <sheetDataSet>
      <sheetData sheetId="0">
        <row r="2">
          <cell r="A2" t="str">
            <v>20123</v>
          </cell>
          <cell r="C2">
            <v>2965</v>
          </cell>
        </row>
        <row r="3">
          <cell r="C3">
            <v>1673</v>
          </cell>
        </row>
        <row r="4">
          <cell r="C4">
            <v>42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gender_115"/>
    </sheetNames>
    <sheetDataSet>
      <sheetData sheetId="0">
        <row r="2">
          <cell r="A2" t="str">
            <v>20115</v>
          </cell>
          <cell r="C2">
            <v>877</v>
          </cell>
        </row>
        <row r="3">
          <cell r="C3">
            <v>464</v>
          </cell>
        </row>
        <row r="4">
          <cell r="C4">
            <v>16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gender_125"/>
    </sheetNames>
    <sheetDataSet>
      <sheetData sheetId="0">
        <row r="2">
          <cell r="A2" t="str">
            <v>20125</v>
          </cell>
          <cell r="C2">
            <v>993</v>
          </cell>
        </row>
        <row r="3">
          <cell r="C3">
            <v>581</v>
          </cell>
        </row>
        <row r="4">
          <cell r="C4">
            <v>15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age_107"/>
    </sheetNames>
    <sheetDataSet>
      <sheetData sheetId="0">
        <row r="2">
          <cell r="C2">
            <v>157</v>
          </cell>
        </row>
        <row r="3">
          <cell r="C3">
            <v>1413</v>
          </cell>
        </row>
        <row r="4">
          <cell r="C4">
            <v>1056</v>
          </cell>
        </row>
        <row r="5">
          <cell r="C5">
            <v>596</v>
          </cell>
        </row>
        <row r="6">
          <cell r="C6">
            <v>733</v>
          </cell>
        </row>
        <row r="7">
          <cell r="C7">
            <v>388</v>
          </cell>
        </row>
        <row r="8">
          <cell r="C8">
            <v>128</v>
          </cell>
        </row>
        <row r="9">
          <cell r="C9">
            <v>29</v>
          </cell>
        </row>
        <row r="10">
          <cell r="C10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age_117"/>
    </sheetNames>
    <sheetDataSet>
      <sheetData sheetId="0">
        <row r="2">
          <cell r="C2">
            <v>116</v>
          </cell>
        </row>
        <row r="3">
          <cell r="C3">
            <v>1326</v>
          </cell>
        </row>
        <row r="4">
          <cell r="C4">
            <v>1062</v>
          </cell>
        </row>
        <row r="5">
          <cell r="C5">
            <v>567</v>
          </cell>
        </row>
        <row r="6">
          <cell r="C6">
            <v>660</v>
          </cell>
        </row>
        <row r="7">
          <cell r="C7">
            <v>396</v>
          </cell>
        </row>
        <row r="8">
          <cell r="C8">
            <v>119</v>
          </cell>
        </row>
        <row r="9">
          <cell r="C9">
            <v>21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_age_113"/>
    </sheetNames>
    <sheetDataSet>
      <sheetData sheetId="0">
        <row r="2">
          <cell r="C2">
            <v>83</v>
          </cell>
        </row>
        <row r="3">
          <cell r="C3">
            <v>1404</v>
          </cell>
        </row>
        <row r="4">
          <cell r="C4">
            <v>1099</v>
          </cell>
        </row>
        <row r="5">
          <cell r="C5">
            <v>597</v>
          </cell>
        </row>
        <row r="6">
          <cell r="C6">
            <v>748</v>
          </cell>
        </row>
        <row r="7">
          <cell r="C7">
            <v>403</v>
          </cell>
        </row>
        <row r="8">
          <cell r="C8">
            <v>134</v>
          </cell>
        </row>
        <row r="9">
          <cell r="C9">
            <v>27</v>
          </cell>
        </row>
        <row r="10">
          <cell r="C10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8"/>
  <sheetViews>
    <sheetView tabSelected="1" workbookViewId="0">
      <pane ySplit="2" topLeftCell="A15" activePane="bottomLeft" state="frozen"/>
      <selection pane="bottomLeft" activeCell="A50" sqref="A50"/>
    </sheetView>
  </sheetViews>
  <sheetFormatPr defaultRowHeight="15" x14ac:dyDescent="0.25"/>
  <cols>
    <col min="1" max="1" width="36.140625" bestFit="1" customWidth="1"/>
    <col min="2" max="5" width="9.140625" customWidth="1"/>
  </cols>
  <sheetData>
    <row r="1" spans="1:13" ht="15.75" thickTop="1" x14ac:dyDescent="0.25">
      <c r="A1" s="35" t="s">
        <v>27</v>
      </c>
      <c r="B1" s="37" t="str">
        <f>CONCATENATE(IF(RIGHT([1]sc_gender_107!A2,1) = "1", "WINTER ", IF(RIGHT([1]sc_gender_107!A2,1) = "3", "SPRING ", IF(RIGHT([1]sc_gender_107!A2,1) = "5", "SUMMER ", IF(RIGHT([1]sc_gender_107!A2,1) = "7", "FALL ")))),LEFT([1]sc_gender_107!A2, 4))</f>
        <v>FALL 2010</v>
      </c>
      <c r="C1" s="38"/>
      <c r="D1" s="28" t="str">
        <f>CONCATENATE(IF(RIGHT([2]sc_gender_117!A2,1) = "1", "WINTER ", IF(RIGHT([2]sc_gender_117!A2,1) = "3", "SPRING ", IF(RIGHT([2]sc_gender_117!A2,1) = "5", "SUMMER ", IF(RIGHT([2]sc_gender_117!A2,1) = "7", "FALL ")))),LEFT([2]sc_gender_117!A2, 4))</f>
        <v>FALL 2011</v>
      </c>
      <c r="E1" s="32"/>
      <c r="F1" s="28" t="str">
        <f>CONCATENATE(IF(RIGHT([3]sc_gender_113!A2,1) = "1", "WINTER ", IF(RIGHT([3]sc_gender_113!A2,1) = "3", "SPRING ", IF(RIGHT([3]sc_gender_113!A2,1) = "5", "SUMMER ", IF(RIGHT([3]sc_gender_113!A2,1) = "7", "FALL ")))),LEFT([3]sc_gender_113!A2, 4))</f>
        <v>SPRING 2011</v>
      </c>
      <c r="G1" s="29"/>
      <c r="H1" s="28" t="str">
        <f>CONCATENATE(IF(RIGHT([4]sc_gender_123!A2,1) = "1", "WINTER ", IF(RIGHT([4]sc_gender_123!A2,1) = "3", "SPRING ", IF(RIGHT([4]sc_gender_123!A2,1) = "5", "SUMMER ", IF(RIGHT([4]sc_gender_123!A2,1) = "7", "FALL ")))),LEFT([4]sc_gender_123!A2, 4))</f>
        <v>SPRING 2012</v>
      </c>
      <c r="I1" s="32"/>
      <c r="J1" s="28" t="str">
        <f>CONCATENATE(IF(RIGHT([5]sc_gender_115!A2,1) = "1", "WINTER ", IF(RIGHT([5]sc_gender_115!A2,1) = "3", "SPRING ", IF(RIGHT([5]sc_gender_115!A2,1) = "5", "SUMMER ", IF(RIGHT([5]sc_gender_115!A2,1) = "7", "FALL ")))),LEFT([5]sc_gender_115!A2, 4))</f>
        <v>SUMMER 2011</v>
      </c>
      <c r="K1" s="32"/>
      <c r="L1" s="28" t="str">
        <f>CONCATENATE(IF(RIGHT([6]sc_gender_125!A2,1) = "1", "WINTER ", IF(RIGHT([6]sc_gender_125!A2,1) = "3", "SPRING ", IF(RIGHT([6]sc_gender_125!A2,1) = "5", "SUMMER ", IF(RIGHT([6]sc_gender_125!A2,1) = "7", "FALL ")))),LEFT([6]sc_gender_125!A2, 4))</f>
        <v>SUMMER 2012</v>
      </c>
      <c r="M1" s="32"/>
    </row>
    <row r="2" spans="1:13" ht="15.75" thickBot="1" x14ac:dyDescent="0.3">
      <c r="A2" s="36"/>
      <c r="B2" s="39"/>
      <c r="C2" s="40"/>
      <c r="D2" s="33"/>
      <c r="E2" s="34"/>
      <c r="F2" s="30"/>
      <c r="G2" s="31"/>
      <c r="H2" s="33"/>
      <c r="I2" s="34"/>
      <c r="J2" s="33"/>
      <c r="K2" s="34"/>
      <c r="L2" s="33"/>
      <c r="M2" s="34"/>
    </row>
    <row r="3" spans="1:13" ht="16.5" thickTop="1" thickBot="1" x14ac:dyDescent="0.3">
      <c r="A3" s="1" t="s">
        <v>0</v>
      </c>
      <c r="B3" s="2"/>
      <c r="C3" s="2"/>
      <c r="D3" s="3"/>
      <c r="E3" s="3"/>
      <c r="F3" s="3"/>
      <c r="G3" s="4"/>
      <c r="H3" s="3"/>
      <c r="I3" s="4"/>
      <c r="J3" s="3"/>
      <c r="K3" s="4"/>
      <c r="L3" s="3"/>
      <c r="M3" s="4"/>
    </row>
    <row r="4" spans="1:13" ht="15.75" thickTop="1" x14ac:dyDescent="0.25">
      <c r="A4" s="5" t="s">
        <v>1</v>
      </c>
      <c r="B4" s="15">
        <f>[1]sc_gender_107!C2</f>
        <v>2918</v>
      </c>
      <c r="C4" s="16">
        <f>$B4/$B$7</f>
        <v>0.64830037769384585</v>
      </c>
      <c r="D4" s="17">
        <f>[2]sc_gender_117!C2</f>
        <v>2763</v>
      </c>
      <c r="E4" s="16">
        <f>$D4/$D$7</f>
        <v>0.64752753691117881</v>
      </c>
      <c r="F4" s="15">
        <f>[3]sc_gender_113!C2</f>
        <v>2917</v>
      </c>
      <c r="G4" s="16">
        <f>$F4/$F$7</f>
        <v>0.64865465866132976</v>
      </c>
      <c r="H4" s="17">
        <f>[4]sc_gender_123!C2</f>
        <v>2965</v>
      </c>
      <c r="I4" s="16">
        <f>$H4/$H$7</f>
        <v>0.63354700854700852</v>
      </c>
      <c r="J4" s="17">
        <f>[5]sc_gender_115!C2</f>
        <v>877</v>
      </c>
      <c r="K4" s="16">
        <f>$J4/$J$7</f>
        <v>0.64627855563743553</v>
      </c>
      <c r="L4" s="17">
        <f>[6]sc_gender_125!C2</f>
        <v>993</v>
      </c>
      <c r="M4" s="16">
        <f>$L4/$L$7</f>
        <v>0.62492133417243545</v>
      </c>
    </row>
    <row r="5" spans="1:13" x14ac:dyDescent="0.25">
      <c r="A5" s="13" t="s">
        <v>2</v>
      </c>
      <c r="B5" s="18">
        <f>[1]sc_gender_107!C3</f>
        <v>1540</v>
      </c>
      <c r="C5" s="19">
        <f>$B5/$B$7</f>
        <v>0.34214618973561428</v>
      </c>
      <c r="D5" s="20">
        <f>[2]sc_gender_117!C3</f>
        <v>1465</v>
      </c>
      <c r="E5" s="19">
        <f>$D5/$D$7</f>
        <v>0.3433325521443637</v>
      </c>
      <c r="F5" s="18">
        <f>[3]sc_gender_113!C3</f>
        <v>1545</v>
      </c>
      <c r="G5" s="19">
        <f>$F5/$F$7</f>
        <v>0.34356237491661107</v>
      </c>
      <c r="H5" s="20">
        <f>[4]sc_gender_123!C3</f>
        <v>1673</v>
      </c>
      <c r="I5" s="19">
        <f>$H5/$H$7</f>
        <v>0.35747863247863249</v>
      </c>
      <c r="J5" s="20">
        <f>[5]sc_gender_115!C3</f>
        <v>464</v>
      </c>
      <c r="K5" s="19">
        <f>$J5/$J$7</f>
        <v>0.34193072955047898</v>
      </c>
      <c r="L5" s="20">
        <f>[6]sc_gender_125!C3</f>
        <v>581</v>
      </c>
      <c r="M5" s="19">
        <f>$L5/$L$7</f>
        <v>0.3656387665198238</v>
      </c>
    </row>
    <row r="6" spans="1:13" x14ac:dyDescent="0.25">
      <c r="A6" s="13" t="s">
        <v>3</v>
      </c>
      <c r="B6" s="18">
        <f>[1]sc_gender_107!C4</f>
        <v>43</v>
      </c>
      <c r="C6" s="19">
        <f>$B6/$B$7</f>
        <v>9.5534325705398798E-3</v>
      </c>
      <c r="D6" s="20">
        <f>[2]sc_gender_117!C4</f>
        <v>39</v>
      </c>
      <c r="E6" s="19">
        <f>$D6/$D$7</f>
        <v>9.1399109444574647E-3</v>
      </c>
      <c r="F6" s="18">
        <f>[3]sc_gender_113!C4</f>
        <v>35</v>
      </c>
      <c r="G6" s="19">
        <f>$F6/$F$7</f>
        <v>7.7829664220591503E-3</v>
      </c>
      <c r="H6" s="20">
        <f>[4]sc_gender_123!C4</f>
        <v>42</v>
      </c>
      <c r="I6" s="19">
        <f>$H6/$H$7</f>
        <v>8.9743589743589737E-3</v>
      </c>
      <c r="J6" s="20">
        <f>[5]sc_gender_115!C4</f>
        <v>16</v>
      </c>
      <c r="K6" s="19">
        <f>$J6/$J$7</f>
        <v>1.1790714812085483E-2</v>
      </c>
      <c r="L6" s="20">
        <f>[6]sc_gender_125!C4</f>
        <v>15</v>
      </c>
      <c r="M6" s="19">
        <f>$L6/$L$7</f>
        <v>9.4398993077407182E-3</v>
      </c>
    </row>
    <row r="7" spans="1:13" x14ac:dyDescent="0.25">
      <c r="A7" s="5"/>
      <c r="B7" s="21">
        <f>SUM(B4:B6)</f>
        <v>4501</v>
      </c>
      <c r="C7" s="19">
        <f>$B7/$B$7</f>
        <v>1</v>
      </c>
      <c r="D7" s="22">
        <f>SUM(D4:D6)</f>
        <v>4267</v>
      </c>
      <c r="E7" s="19">
        <f>$D7/$D$7</f>
        <v>1</v>
      </c>
      <c r="F7" s="21">
        <f>SUM(F4:F6)</f>
        <v>4497</v>
      </c>
      <c r="G7" s="19">
        <f>$F7/$F$7</f>
        <v>1</v>
      </c>
      <c r="H7" s="22">
        <f>SUM(H4:H6)</f>
        <v>4680</v>
      </c>
      <c r="I7" s="19">
        <f>$H7/$H$7</f>
        <v>1</v>
      </c>
      <c r="J7" s="22">
        <f>SUM(J4:J6)</f>
        <v>1357</v>
      </c>
      <c r="K7" s="19">
        <f>$J7/$J$7</f>
        <v>1</v>
      </c>
      <c r="L7" s="22">
        <f>SUM(L4:L6)</f>
        <v>1589</v>
      </c>
      <c r="M7" s="19">
        <f>$L7/$L$7</f>
        <v>1</v>
      </c>
    </row>
    <row r="8" spans="1:13" x14ac:dyDescent="0.25">
      <c r="A8" s="5"/>
      <c r="B8" s="6"/>
      <c r="C8" s="7"/>
      <c r="D8" s="8"/>
      <c r="E8" s="7"/>
      <c r="F8" s="6"/>
      <c r="G8" s="7"/>
      <c r="H8" s="8"/>
      <c r="I8" s="7"/>
      <c r="J8" s="8"/>
      <c r="K8" s="7"/>
      <c r="L8" s="8"/>
      <c r="M8" s="7"/>
    </row>
    <row r="9" spans="1:13" ht="15.75" thickBot="1" x14ac:dyDescent="0.3">
      <c r="A9" s="5"/>
      <c r="B9" s="8"/>
      <c r="C9" s="7"/>
      <c r="D9" s="8"/>
      <c r="E9" s="7"/>
      <c r="F9" s="8"/>
      <c r="G9" s="7"/>
      <c r="H9" s="8"/>
      <c r="I9" s="7"/>
      <c r="J9" s="8"/>
      <c r="K9" s="7"/>
      <c r="L9" s="8"/>
      <c r="M9" s="7"/>
    </row>
    <row r="10" spans="1:13" ht="16.5" thickTop="1" thickBot="1" x14ac:dyDescent="0.3">
      <c r="A10" s="1" t="s">
        <v>4</v>
      </c>
      <c r="B10" s="9"/>
      <c r="C10" s="10"/>
      <c r="D10" s="9"/>
      <c r="E10" s="10"/>
      <c r="F10" s="9"/>
      <c r="G10" s="11"/>
      <c r="H10" s="9"/>
      <c r="I10" s="11"/>
      <c r="J10" s="9"/>
      <c r="K10" s="11"/>
      <c r="L10" s="9"/>
      <c r="M10" s="11"/>
    </row>
    <row r="11" spans="1:13" ht="15.75" thickTop="1" x14ac:dyDescent="0.25">
      <c r="A11" s="5" t="s">
        <v>5</v>
      </c>
      <c r="B11" s="23">
        <f>[7]sc_age_107!C2</f>
        <v>157</v>
      </c>
      <c r="C11" s="19">
        <f t="shared" ref="C11:C20" si="0">$B11/$B$20</f>
        <v>3.4881137524994443E-2</v>
      </c>
      <c r="D11" s="23">
        <f>[8]sc_age_117!C2</f>
        <v>116</v>
      </c>
      <c r="E11" s="19">
        <f t="shared" ref="E11:E20" si="1">$D11/$D$20</f>
        <v>2.7185376142488869E-2</v>
      </c>
      <c r="F11" s="23">
        <f>[9]sc_age_113!C2</f>
        <v>83</v>
      </c>
      <c r="G11" s="19">
        <f t="shared" ref="G11:G20" si="2">$F11/$F$20</f>
        <v>1.8456748943740272E-2</v>
      </c>
      <c r="H11" s="24">
        <f>[10]sc_age_123!C2</f>
        <v>75</v>
      </c>
      <c r="I11" s="19">
        <f t="shared" ref="I11:I20" si="3">$H11/$H$20</f>
        <v>1.6025641025641024E-2</v>
      </c>
      <c r="J11" s="24">
        <f>[11]sc_age_115!C2</f>
        <v>22</v>
      </c>
      <c r="K11" s="19">
        <f t="shared" ref="K11:K20" si="4">$J11/$J$20</f>
        <v>1.6212232866617538E-2</v>
      </c>
      <c r="L11" s="24">
        <f>[12]sc_age_125!C2</f>
        <v>35</v>
      </c>
      <c r="M11" s="19">
        <f t="shared" ref="M11:M20" si="5">$L11/$L$20</f>
        <v>2.2026431718061675E-2</v>
      </c>
    </row>
    <row r="12" spans="1:13" x14ac:dyDescent="0.25">
      <c r="A12" s="5" t="s">
        <v>6</v>
      </c>
      <c r="B12" s="23">
        <f>[7]sc_age_107!C3</f>
        <v>1413</v>
      </c>
      <c r="C12" s="19">
        <f t="shared" si="0"/>
        <v>0.31393023772494999</v>
      </c>
      <c r="D12" s="23">
        <f>[8]sc_age_117!C3</f>
        <v>1326</v>
      </c>
      <c r="E12" s="19">
        <f t="shared" si="1"/>
        <v>0.31075697211155379</v>
      </c>
      <c r="F12" s="23">
        <f>[9]sc_age_113!C3</f>
        <v>1404</v>
      </c>
      <c r="G12" s="19">
        <f t="shared" si="2"/>
        <v>0.3122081387591728</v>
      </c>
      <c r="H12" s="24">
        <f>[10]sc_age_123!C3</f>
        <v>1387</v>
      </c>
      <c r="I12" s="19">
        <f t="shared" si="3"/>
        <v>0.29636752136752137</v>
      </c>
      <c r="J12" s="24">
        <f>[11]sc_age_115!C3</f>
        <v>384</v>
      </c>
      <c r="K12" s="19">
        <f t="shared" si="4"/>
        <v>0.28297715549005159</v>
      </c>
      <c r="L12" s="24">
        <f>[12]sc_age_125!C3</f>
        <v>462</v>
      </c>
      <c r="M12" s="19">
        <f t="shared" si="5"/>
        <v>0.29074889867841408</v>
      </c>
    </row>
    <row r="13" spans="1:13" x14ac:dyDescent="0.25">
      <c r="A13" s="5" t="s">
        <v>7</v>
      </c>
      <c r="B13" s="23">
        <f>[7]sc_age_107!C4</f>
        <v>1056</v>
      </c>
      <c r="C13" s="19">
        <f t="shared" si="0"/>
        <v>0.23461453010442124</v>
      </c>
      <c r="D13" s="23">
        <f>[8]sc_age_117!C4</f>
        <v>1062</v>
      </c>
      <c r="E13" s="19">
        <f t="shared" si="1"/>
        <v>0.24888680571830327</v>
      </c>
      <c r="F13" s="23">
        <f>[9]sc_age_113!C4</f>
        <v>1099</v>
      </c>
      <c r="G13" s="19">
        <f t="shared" si="2"/>
        <v>0.24438514565265732</v>
      </c>
      <c r="H13" s="24">
        <f>[10]sc_age_123!C4</f>
        <v>1230</v>
      </c>
      <c r="I13" s="19">
        <f t="shared" si="3"/>
        <v>0.26282051282051283</v>
      </c>
      <c r="J13" s="24">
        <f>[11]sc_age_115!C4</f>
        <v>326</v>
      </c>
      <c r="K13" s="19">
        <f t="shared" si="4"/>
        <v>0.24023581429624172</v>
      </c>
      <c r="L13" s="24">
        <f>[12]sc_age_125!C4</f>
        <v>426</v>
      </c>
      <c r="M13" s="19">
        <f t="shared" si="5"/>
        <v>0.26809314033983639</v>
      </c>
    </row>
    <row r="14" spans="1:13" x14ac:dyDescent="0.25">
      <c r="A14" s="5" t="s">
        <v>8</v>
      </c>
      <c r="B14" s="23">
        <f>[7]sc_age_107!C5</f>
        <v>596</v>
      </c>
      <c r="C14" s="19">
        <f t="shared" si="0"/>
        <v>0.13241501888469229</v>
      </c>
      <c r="D14" s="23">
        <f>[8]sc_age_117!C5</f>
        <v>567</v>
      </c>
      <c r="E14" s="19">
        <f t="shared" si="1"/>
        <v>0.13288024373095852</v>
      </c>
      <c r="F14" s="23">
        <f>[9]sc_age_113!C5</f>
        <v>597</v>
      </c>
      <c r="G14" s="19">
        <f t="shared" si="2"/>
        <v>0.13275517011340893</v>
      </c>
      <c r="H14" s="24">
        <f>[10]sc_age_123!C5</f>
        <v>636</v>
      </c>
      <c r="I14" s="19">
        <f t="shared" si="3"/>
        <v>0.13589743589743589</v>
      </c>
      <c r="J14" s="24">
        <f>[11]sc_age_115!C5</f>
        <v>199</v>
      </c>
      <c r="K14" s="19">
        <f t="shared" si="4"/>
        <v>0.1466470154753132</v>
      </c>
      <c r="L14" s="24">
        <f>[12]sc_age_125!C5</f>
        <v>218</v>
      </c>
      <c r="M14" s="19">
        <f t="shared" si="5"/>
        <v>0.13719320327249843</v>
      </c>
    </row>
    <row r="15" spans="1:13" x14ac:dyDescent="0.25">
      <c r="A15" s="5" t="s">
        <v>9</v>
      </c>
      <c r="B15" s="23">
        <f>[7]sc_age_107!C6</f>
        <v>733</v>
      </c>
      <c r="C15" s="19">
        <f t="shared" si="0"/>
        <v>0.16285269940013331</v>
      </c>
      <c r="D15" s="23">
        <f>[8]sc_age_117!C6</f>
        <v>660</v>
      </c>
      <c r="E15" s="19">
        <f t="shared" si="1"/>
        <v>0.15467541598312631</v>
      </c>
      <c r="F15" s="23">
        <f>[9]sc_age_113!C6</f>
        <v>748</v>
      </c>
      <c r="G15" s="19">
        <f t="shared" si="2"/>
        <v>0.16633311096286413</v>
      </c>
      <c r="H15" s="24">
        <f>[10]sc_age_123!C6</f>
        <v>736</v>
      </c>
      <c r="I15" s="19">
        <f t="shared" si="3"/>
        <v>0.15726495726495726</v>
      </c>
      <c r="J15" s="24">
        <f>[11]sc_age_115!C6</f>
        <v>256</v>
      </c>
      <c r="K15" s="19">
        <f t="shared" si="4"/>
        <v>0.18865143699336773</v>
      </c>
      <c r="L15" s="24">
        <f>[12]sc_age_125!C6</f>
        <v>246</v>
      </c>
      <c r="M15" s="19">
        <f t="shared" si="5"/>
        <v>0.15481434864694776</v>
      </c>
    </row>
    <row r="16" spans="1:13" x14ac:dyDescent="0.25">
      <c r="A16" s="5" t="s">
        <v>10</v>
      </c>
      <c r="B16" s="23">
        <f>[7]sc_age_107!C7</f>
        <v>388</v>
      </c>
      <c r="C16" s="19">
        <f t="shared" si="0"/>
        <v>8.6203065985336585E-2</v>
      </c>
      <c r="D16" s="23">
        <f>[8]sc_age_117!C7</f>
        <v>396</v>
      </c>
      <c r="E16" s="19">
        <f t="shared" si="1"/>
        <v>9.2805249589875793E-2</v>
      </c>
      <c r="F16" s="23">
        <f>[9]sc_age_113!C7</f>
        <v>403</v>
      </c>
      <c r="G16" s="19">
        <f t="shared" si="2"/>
        <v>8.9615299088281072E-2</v>
      </c>
      <c r="H16" s="24">
        <f>[10]sc_age_123!C7</f>
        <v>438</v>
      </c>
      <c r="I16" s="19">
        <f t="shared" si="3"/>
        <v>9.358974358974359E-2</v>
      </c>
      <c r="J16" s="24">
        <f>[11]sc_age_115!C7</f>
        <v>127</v>
      </c>
      <c r="K16" s="19">
        <f t="shared" si="4"/>
        <v>9.358879882092852E-2</v>
      </c>
      <c r="L16" s="24">
        <f>[12]sc_age_125!C7</f>
        <v>143</v>
      </c>
      <c r="M16" s="19">
        <f t="shared" si="5"/>
        <v>8.9993706733794837E-2</v>
      </c>
    </row>
    <row r="17" spans="1:13" x14ac:dyDescent="0.25">
      <c r="A17" s="5" t="s">
        <v>11</v>
      </c>
      <c r="B17" s="23">
        <f>[7]sc_age_107!C8</f>
        <v>128</v>
      </c>
      <c r="C17" s="19">
        <f t="shared" si="0"/>
        <v>2.8438124861141969E-2</v>
      </c>
      <c r="D17" s="23">
        <f>[8]sc_age_117!C8</f>
        <v>119</v>
      </c>
      <c r="E17" s="19">
        <f t="shared" si="1"/>
        <v>2.7888446215139442E-2</v>
      </c>
      <c r="F17" s="23">
        <f>[9]sc_age_113!C8</f>
        <v>134</v>
      </c>
      <c r="G17" s="19">
        <f t="shared" si="2"/>
        <v>2.9797642873026463E-2</v>
      </c>
      <c r="H17" s="24">
        <f>[10]sc_age_123!C8</f>
        <v>152</v>
      </c>
      <c r="I17" s="19">
        <f t="shared" si="3"/>
        <v>3.2478632478632481E-2</v>
      </c>
      <c r="J17" s="24">
        <f>[11]sc_age_115!C8</f>
        <v>32</v>
      </c>
      <c r="K17" s="19">
        <f t="shared" si="4"/>
        <v>2.3581429624170966E-2</v>
      </c>
      <c r="L17" s="24">
        <f>[12]sc_age_125!C8</f>
        <v>51</v>
      </c>
      <c r="M17" s="19">
        <f t="shared" si="5"/>
        <v>3.2095657646318436E-2</v>
      </c>
    </row>
    <row r="18" spans="1:13" x14ac:dyDescent="0.25">
      <c r="A18" s="5" t="s">
        <v>12</v>
      </c>
      <c r="B18" s="23">
        <f>[7]sc_age_107!C9</f>
        <v>29</v>
      </c>
      <c r="C18" s="19">
        <f t="shared" si="0"/>
        <v>6.443012663852477E-3</v>
      </c>
      <c r="D18" s="23">
        <f>[8]sc_age_117!C9</f>
        <v>21</v>
      </c>
      <c r="E18" s="19">
        <f t="shared" si="1"/>
        <v>4.9214905085540189E-3</v>
      </c>
      <c r="F18" s="23">
        <f>[9]sc_age_113!C9</f>
        <v>27</v>
      </c>
      <c r="G18" s="19">
        <f t="shared" si="2"/>
        <v>6.00400266844563E-3</v>
      </c>
      <c r="H18" s="24">
        <f>[10]sc_age_123!C9</f>
        <v>26</v>
      </c>
      <c r="I18" s="19">
        <f t="shared" si="3"/>
        <v>5.5555555555555558E-3</v>
      </c>
      <c r="J18" s="24">
        <f>[11]sc_age_115!C9</f>
        <v>11</v>
      </c>
      <c r="K18" s="19">
        <f t="shared" si="4"/>
        <v>8.1061164333087691E-3</v>
      </c>
      <c r="L18" s="24">
        <f>[12]sc_age_125!C9</f>
        <v>8</v>
      </c>
      <c r="M18" s="19">
        <f t="shared" si="5"/>
        <v>5.034612964128383E-3</v>
      </c>
    </row>
    <row r="19" spans="1:13" x14ac:dyDescent="0.25">
      <c r="A19" s="5" t="s">
        <v>3</v>
      </c>
      <c r="B19" s="23">
        <f>[7]sc_age_107!C10</f>
        <v>1</v>
      </c>
      <c r="C19" s="19">
        <f t="shared" si="0"/>
        <v>2.2217285047767163E-4</v>
      </c>
      <c r="D19" s="23">
        <f>[8]sc_age_117!C10</f>
        <v>0</v>
      </c>
      <c r="E19" s="19">
        <f t="shared" si="1"/>
        <v>0</v>
      </c>
      <c r="F19" s="23">
        <f>[9]sc_age_113!C10</f>
        <v>2</v>
      </c>
      <c r="G19" s="19">
        <f t="shared" si="2"/>
        <v>4.4474093840338001E-4</v>
      </c>
      <c r="H19" s="24">
        <f>[10]sc_age_123!C10</f>
        <v>0</v>
      </c>
      <c r="I19" s="19">
        <f t="shared" si="3"/>
        <v>0</v>
      </c>
      <c r="J19" s="24">
        <f>[11]sc_age_115!C10</f>
        <v>0</v>
      </c>
      <c r="K19" s="19">
        <f t="shared" si="4"/>
        <v>0</v>
      </c>
      <c r="L19" s="24">
        <f>[12]sc_age_125!C10</f>
        <v>0</v>
      </c>
      <c r="M19" s="19">
        <f t="shared" si="5"/>
        <v>0</v>
      </c>
    </row>
    <row r="20" spans="1:13" x14ac:dyDescent="0.25">
      <c r="A20" s="5"/>
      <c r="B20" s="21">
        <f>SUM(B11:B19)</f>
        <v>4501</v>
      </c>
      <c r="C20" s="19">
        <f t="shared" si="0"/>
        <v>1</v>
      </c>
      <c r="D20" s="22">
        <f>SUM(D11:D19)</f>
        <v>4267</v>
      </c>
      <c r="E20" s="19">
        <f t="shared" si="1"/>
        <v>1</v>
      </c>
      <c r="F20" s="21">
        <f>SUM(F11:F19)</f>
        <v>4497</v>
      </c>
      <c r="G20" s="19">
        <f t="shared" si="2"/>
        <v>1</v>
      </c>
      <c r="H20" s="22">
        <f>SUM(H11:H19)</f>
        <v>4680</v>
      </c>
      <c r="I20" s="19">
        <f t="shared" si="3"/>
        <v>1</v>
      </c>
      <c r="J20" s="22">
        <f>SUM(J11:J19)</f>
        <v>1357</v>
      </c>
      <c r="K20" s="19">
        <f t="shared" si="4"/>
        <v>1</v>
      </c>
      <c r="L20" s="22">
        <f>SUM(L11:L19)</f>
        <v>1589</v>
      </c>
      <c r="M20" s="19">
        <f t="shared" si="5"/>
        <v>1</v>
      </c>
    </row>
    <row r="21" spans="1:13" x14ac:dyDescent="0.25">
      <c r="A21" s="5"/>
      <c r="B21" s="6"/>
      <c r="C21" s="7"/>
      <c r="D21" s="8"/>
      <c r="E21" s="7"/>
      <c r="F21" s="6"/>
      <c r="G21" s="7"/>
      <c r="H21" s="8"/>
      <c r="I21" s="7"/>
      <c r="J21" s="8"/>
      <c r="K21" s="7"/>
      <c r="L21" s="8"/>
      <c r="M21" s="7"/>
    </row>
    <row r="22" spans="1:13" ht="15.75" thickBot="1" x14ac:dyDescent="0.3">
      <c r="A22" s="5"/>
      <c r="B22" s="8"/>
      <c r="C22" s="7"/>
      <c r="D22" s="8"/>
      <c r="E22" s="7"/>
      <c r="F22" s="8"/>
      <c r="G22" s="7"/>
      <c r="H22" s="8"/>
      <c r="I22" s="7"/>
      <c r="J22" s="8"/>
      <c r="K22" s="7"/>
      <c r="L22" s="8"/>
      <c r="M22" s="7"/>
    </row>
    <row r="23" spans="1:13" ht="16.5" thickTop="1" thickBot="1" x14ac:dyDescent="0.3">
      <c r="A23" s="1" t="s">
        <v>13</v>
      </c>
      <c r="B23" s="9"/>
      <c r="C23" s="10"/>
      <c r="D23" s="9"/>
      <c r="E23" s="10"/>
      <c r="F23" s="9"/>
      <c r="G23" s="11"/>
      <c r="H23" s="9"/>
      <c r="I23" s="11"/>
      <c r="J23" s="9"/>
      <c r="K23" s="11"/>
      <c r="L23" s="9"/>
      <c r="M23" s="11"/>
    </row>
    <row r="24" spans="1:13" ht="15.75" thickTop="1" x14ac:dyDescent="0.25">
      <c r="A24" s="5" t="s">
        <v>14</v>
      </c>
      <c r="B24" s="17">
        <f>[13]sc_ethnicity_107!$C2</f>
        <v>655</v>
      </c>
      <c r="C24" s="19">
        <f t="shared" ref="C24:C34" si="6">$B24/$B$34</f>
        <v>0.14552321706287491</v>
      </c>
      <c r="D24" s="23">
        <f>[14]sc_ethnicity_117!$C2</f>
        <v>609</v>
      </c>
      <c r="E24" s="19">
        <f t="shared" ref="E24:E34" si="7">$D24/$D$34</f>
        <v>0.14272322474806656</v>
      </c>
      <c r="F24" s="17">
        <f>[15]sc_ethnicity_113!$C2</f>
        <v>632</v>
      </c>
      <c r="G24" s="19">
        <f t="shared" ref="G24:G34" si="8">$F24/$F$34</f>
        <v>0.14053813653546809</v>
      </c>
      <c r="H24" s="23">
        <f>[16]sc_ethnicity_123!$C2</f>
        <v>684</v>
      </c>
      <c r="I24" s="19">
        <f t="shared" ref="I24:I34" si="9">$H24/$H$34</f>
        <v>0.14615384615384616</v>
      </c>
      <c r="J24" s="23">
        <f>[17]sc_ethnicity_115!$C2</f>
        <v>207</v>
      </c>
      <c r="K24" s="19">
        <f t="shared" ref="K24:K34" si="10">$J24/$J$34</f>
        <v>0.15254237288135594</v>
      </c>
      <c r="L24" s="23">
        <f>[18]sc_ethnicity_125!$C2</f>
        <v>177</v>
      </c>
      <c r="M24" s="19">
        <f t="shared" ref="M24:M34" si="11">$L24/$L$34</f>
        <v>0.11139081183134046</v>
      </c>
    </row>
    <row r="25" spans="1:13" x14ac:dyDescent="0.25">
      <c r="A25" s="5" t="s">
        <v>15</v>
      </c>
      <c r="B25" s="23">
        <f>[13]sc_ethnicity_107!$C3</f>
        <v>37</v>
      </c>
      <c r="C25" s="19">
        <f t="shared" si="6"/>
        <v>8.2203954676738494E-3</v>
      </c>
      <c r="D25" s="23">
        <f>[14]sc_ethnicity_117!$C3</f>
        <v>23</v>
      </c>
      <c r="E25" s="19">
        <f t="shared" si="7"/>
        <v>5.3902038903210683E-3</v>
      </c>
      <c r="F25" s="23">
        <f>[15]sc_ethnicity_113!$C3</f>
        <v>23</v>
      </c>
      <c r="G25" s="19">
        <f t="shared" si="8"/>
        <v>5.1145207916388708E-3</v>
      </c>
      <c r="H25" s="23">
        <f>[16]sc_ethnicity_123!$C3</f>
        <v>21</v>
      </c>
      <c r="I25" s="19">
        <f t="shared" si="9"/>
        <v>4.4871794871794869E-3</v>
      </c>
      <c r="J25" s="23">
        <f>[17]sc_ethnicity_115!$C3</f>
        <v>9</v>
      </c>
      <c r="K25" s="19">
        <f t="shared" si="10"/>
        <v>6.6322770817980837E-3</v>
      </c>
      <c r="L25" s="23">
        <f>[18]sc_ethnicity_125!$C3</f>
        <v>15</v>
      </c>
      <c r="M25" s="19">
        <f t="shared" si="11"/>
        <v>9.4398993077407182E-3</v>
      </c>
    </row>
    <row r="26" spans="1:13" x14ac:dyDescent="0.25">
      <c r="A26" s="5" t="s">
        <v>16</v>
      </c>
      <c r="B26" s="23">
        <f>[13]sc_ethnicity_107!$C4</f>
        <v>60</v>
      </c>
      <c r="C26" s="19">
        <f t="shared" si="6"/>
        <v>1.3330371028660297E-2</v>
      </c>
      <c r="D26" s="23">
        <f>[14]sc_ethnicity_117!$C4</f>
        <v>60</v>
      </c>
      <c r="E26" s="19">
        <f t="shared" si="7"/>
        <v>1.4061401453011484E-2</v>
      </c>
      <c r="F26" s="23">
        <f>[15]sc_ethnicity_113!$C4</f>
        <v>64</v>
      </c>
      <c r="G26" s="19">
        <f t="shared" si="8"/>
        <v>1.423171002890816E-2</v>
      </c>
      <c r="H26" s="23">
        <f>[16]sc_ethnicity_123!$C4</f>
        <v>49</v>
      </c>
      <c r="I26" s="19">
        <f t="shared" si="9"/>
        <v>1.0470085470085469E-2</v>
      </c>
      <c r="J26" s="23">
        <f>[17]sc_ethnicity_115!$C4</f>
        <v>17</v>
      </c>
      <c r="K26" s="19">
        <f t="shared" si="10"/>
        <v>1.2527634487840826E-2</v>
      </c>
      <c r="L26" s="23">
        <f>[18]sc_ethnicity_125!$C4</f>
        <v>20</v>
      </c>
      <c r="M26" s="19">
        <f t="shared" si="11"/>
        <v>1.2586532410320957E-2</v>
      </c>
    </row>
    <row r="27" spans="1:13" x14ac:dyDescent="0.25">
      <c r="A27" s="5" t="s">
        <v>17</v>
      </c>
      <c r="B27" s="23">
        <f>[13]sc_ethnicity_107!$C5</f>
        <v>49</v>
      </c>
      <c r="C27" s="19">
        <f t="shared" si="6"/>
        <v>1.088646967340591E-2</v>
      </c>
      <c r="D27" s="23">
        <f>[14]sc_ethnicity_117!$C5</f>
        <v>41</v>
      </c>
      <c r="E27" s="19">
        <f t="shared" si="7"/>
        <v>9.6086243262245141E-3</v>
      </c>
      <c r="F27" s="23">
        <f>[15]sc_ethnicity_113!$C5</f>
        <v>47</v>
      </c>
      <c r="G27" s="19">
        <f t="shared" si="8"/>
        <v>1.0451412052479431E-2</v>
      </c>
      <c r="H27" s="23">
        <f>[16]sc_ethnicity_123!$C5</f>
        <v>33</v>
      </c>
      <c r="I27" s="19">
        <f t="shared" si="9"/>
        <v>7.0512820512820514E-3</v>
      </c>
      <c r="J27" s="23">
        <f>[17]sc_ethnicity_115!$C5</f>
        <v>10</v>
      </c>
      <c r="K27" s="19">
        <f t="shared" si="10"/>
        <v>7.3691967575534268E-3</v>
      </c>
      <c r="L27" s="23">
        <f>[18]sc_ethnicity_125!$C5</f>
        <v>12</v>
      </c>
      <c r="M27" s="19">
        <f t="shared" si="11"/>
        <v>7.551919446192574E-3</v>
      </c>
    </row>
    <row r="28" spans="1:13" x14ac:dyDescent="0.25">
      <c r="A28" s="5" t="s">
        <v>18</v>
      </c>
      <c r="B28" s="23">
        <f>[13]sc_ethnicity_107!$C6</f>
        <v>1405</v>
      </c>
      <c r="C28" s="19">
        <f t="shared" si="6"/>
        <v>0.31215285492112865</v>
      </c>
      <c r="D28" s="23">
        <f>[14]sc_ethnicity_117!$C6</f>
        <v>1439</v>
      </c>
      <c r="E28" s="19">
        <f t="shared" si="7"/>
        <v>0.3372392781813921</v>
      </c>
      <c r="F28" s="23">
        <f>[15]sc_ethnicity_113!$C6</f>
        <v>1419</v>
      </c>
      <c r="G28" s="19">
        <f t="shared" si="8"/>
        <v>0.31554369579719815</v>
      </c>
      <c r="H28" s="23">
        <f>[16]sc_ethnicity_123!$C6</f>
        <v>1645</v>
      </c>
      <c r="I28" s="19">
        <f t="shared" si="9"/>
        <v>0.35149572649572647</v>
      </c>
      <c r="J28" s="23">
        <f>[17]sc_ethnicity_115!$C6</f>
        <v>471</v>
      </c>
      <c r="K28" s="19">
        <f t="shared" si="10"/>
        <v>0.34708916728076639</v>
      </c>
      <c r="L28" s="23">
        <f>[18]sc_ethnicity_125!$C6</f>
        <v>600</v>
      </c>
      <c r="M28" s="19">
        <f t="shared" si="11"/>
        <v>0.37759597230962871</v>
      </c>
    </row>
    <row r="29" spans="1:13" x14ac:dyDescent="0.25">
      <c r="A29" s="5" t="s">
        <v>19</v>
      </c>
      <c r="B29" s="23">
        <f>[13]sc_ethnicity_107!$C7</f>
        <v>12</v>
      </c>
      <c r="C29" s="19">
        <f t="shared" si="6"/>
        <v>2.6660742057320595E-3</v>
      </c>
      <c r="D29" s="23">
        <f>[14]sc_ethnicity_117!$C7</f>
        <v>7</v>
      </c>
      <c r="E29" s="19">
        <f t="shared" si="7"/>
        <v>1.6404968361846731E-3</v>
      </c>
      <c r="F29" s="23">
        <f>[15]sc_ethnicity_113!$C7</f>
        <v>14</v>
      </c>
      <c r="G29" s="19">
        <f t="shared" si="8"/>
        <v>3.11318656882366E-3</v>
      </c>
      <c r="H29" s="23">
        <f>[16]sc_ethnicity_123!$C7</f>
        <v>7</v>
      </c>
      <c r="I29" s="19">
        <f t="shared" si="9"/>
        <v>1.4957264957264958E-3</v>
      </c>
      <c r="J29" s="23">
        <f>[17]sc_ethnicity_115!$C7</f>
        <v>2</v>
      </c>
      <c r="K29" s="19">
        <f t="shared" si="10"/>
        <v>1.4738393515106854E-3</v>
      </c>
      <c r="L29" s="23">
        <f>[18]sc_ethnicity_125!$C7</f>
        <v>2</v>
      </c>
      <c r="M29" s="19">
        <f t="shared" si="11"/>
        <v>1.2586532410320957E-3</v>
      </c>
    </row>
    <row r="30" spans="1:13" x14ac:dyDescent="0.25">
      <c r="A30" s="5" t="s">
        <v>20</v>
      </c>
      <c r="B30" s="23">
        <f>[13]sc_ethnicity_107!$C8</f>
        <v>14</v>
      </c>
      <c r="C30" s="19">
        <f t="shared" si="6"/>
        <v>3.1104199066874028E-3</v>
      </c>
      <c r="D30" s="23">
        <f>[14]sc_ethnicity_117!$C8</f>
        <v>13</v>
      </c>
      <c r="E30" s="19">
        <f t="shared" si="7"/>
        <v>3.0466369814858216E-3</v>
      </c>
      <c r="F30" s="23">
        <f>[15]sc_ethnicity_113!$C8</f>
        <v>14</v>
      </c>
      <c r="G30" s="19">
        <f t="shared" si="8"/>
        <v>3.11318656882366E-3</v>
      </c>
      <c r="H30" s="23">
        <f>[16]sc_ethnicity_123!$C8</f>
        <v>14</v>
      </c>
      <c r="I30" s="19">
        <f t="shared" si="9"/>
        <v>2.9914529914529917E-3</v>
      </c>
      <c r="J30" s="23">
        <f>[17]sc_ethnicity_115!$C8</f>
        <v>4</v>
      </c>
      <c r="K30" s="19">
        <f t="shared" si="10"/>
        <v>2.9476787030213707E-3</v>
      </c>
      <c r="L30" s="23">
        <f>[18]sc_ethnicity_125!$C8</f>
        <v>7</v>
      </c>
      <c r="M30" s="19">
        <f t="shared" si="11"/>
        <v>4.4052863436123352E-3</v>
      </c>
    </row>
    <row r="31" spans="1:13" x14ac:dyDescent="0.25">
      <c r="A31" s="5" t="s">
        <v>21</v>
      </c>
      <c r="B31" s="23">
        <f>[13]sc_ethnicity_107!$C9</f>
        <v>1928</v>
      </c>
      <c r="C31" s="19">
        <f t="shared" si="6"/>
        <v>0.42834925572095089</v>
      </c>
      <c r="D31" s="23">
        <f>[14]sc_ethnicity_117!$C9</f>
        <v>1781</v>
      </c>
      <c r="E31" s="19">
        <f t="shared" si="7"/>
        <v>0.41738926646355756</v>
      </c>
      <c r="F31" s="23">
        <f>[15]sc_ethnicity_113!$C9</f>
        <v>1955</v>
      </c>
      <c r="G31" s="19">
        <f t="shared" si="8"/>
        <v>0.43473426728930398</v>
      </c>
      <c r="H31" s="23">
        <f>[16]sc_ethnicity_123!$C9</f>
        <v>1909</v>
      </c>
      <c r="I31" s="19">
        <f t="shared" si="9"/>
        <v>0.4079059829059829</v>
      </c>
      <c r="J31" s="23">
        <f>[17]sc_ethnicity_115!$C9</f>
        <v>531</v>
      </c>
      <c r="K31" s="19">
        <f t="shared" si="10"/>
        <v>0.39130434782608697</v>
      </c>
      <c r="L31" s="23">
        <f>[18]sc_ethnicity_125!$C9</f>
        <v>636</v>
      </c>
      <c r="M31" s="19">
        <f t="shared" si="11"/>
        <v>0.40025173064820641</v>
      </c>
    </row>
    <row r="32" spans="1:13" x14ac:dyDescent="0.25">
      <c r="A32" s="5" t="s">
        <v>28</v>
      </c>
      <c r="B32" s="23">
        <f>[13]sc_ethnicity_107!$C10</f>
        <v>125</v>
      </c>
      <c r="C32" s="19">
        <f t="shared" si="6"/>
        <v>2.7771606309708954E-2</v>
      </c>
      <c r="D32" s="23">
        <f>[14]sc_ethnicity_117!$C10</f>
        <v>148</v>
      </c>
      <c r="E32" s="19">
        <f t="shared" si="7"/>
        <v>3.4684790250761662E-2</v>
      </c>
      <c r="F32" s="23">
        <f>[15]sc_ethnicity_113!$C10</f>
        <v>138</v>
      </c>
      <c r="G32" s="19">
        <f t="shared" si="8"/>
        <v>3.0687124749833223E-2</v>
      </c>
      <c r="H32" s="23">
        <f>[16]sc_ethnicity_123!$C10</f>
        <v>191</v>
      </c>
      <c r="I32" s="19">
        <f t="shared" si="9"/>
        <v>4.0811965811965813E-2</v>
      </c>
      <c r="J32" s="23">
        <f>[17]sc_ethnicity_115!$C10</f>
        <v>48</v>
      </c>
      <c r="K32" s="19">
        <f t="shared" si="10"/>
        <v>3.5372144436256449E-2</v>
      </c>
      <c r="L32" s="23">
        <f>[18]sc_ethnicity_125!$C10</f>
        <v>68</v>
      </c>
      <c r="M32" s="19">
        <f t="shared" si="11"/>
        <v>4.2794210195091255E-2</v>
      </c>
    </row>
    <row r="33" spans="1:13" x14ac:dyDescent="0.25">
      <c r="A33" s="5" t="s">
        <v>3</v>
      </c>
      <c r="B33" s="23">
        <f>[13]sc_ethnicity_107!$C11</f>
        <v>216</v>
      </c>
      <c r="C33" s="19">
        <f t="shared" si="6"/>
        <v>4.7989335703177073E-2</v>
      </c>
      <c r="D33" s="23">
        <f>[14]sc_ethnicity_117!$C11</f>
        <v>146</v>
      </c>
      <c r="E33" s="19">
        <f t="shared" si="7"/>
        <v>3.421607686899461E-2</v>
      </c>
      <c r="F33" s="23">
        <f>[15]sc_ethnicity_113!$C11</f>
        <v>191</v>
      </c>
      <c r="G33" s="19">
        <f t="shared" si="8"/>
        <v>4.2472759617522796E-2</v>
      </c>
      <c r="H33" s="23">
        <f>[16]sc_ethnicity_123!$C11</f>
        <v>127</v>
      </c>
      <c r="I33" s="19">
        <f t="shared" si="9"/>
        <v>2.7136752136752137E-2</v>
      </c>
      <c r="J33" s="23">
        <f>[17]sc_ethnicity_115!$C11</f>
        <v>58</v>
      </c>
      <c r="K33" s="19">
        <f t="shared" si="10"/>
        <v>4.2741341193809873E-2</v>
      </c>
      <c r="L33" s="23">
        <f>[18]sc_ethnicity_125!$C11</f>
        <v>52</v>
      </c>
      <c r="M33" s="19">
        <f t="shared" si="11"/>
        <v>3.2724984266834484E-2</v>
      </c>
    </row>
    <row r="34" spans="1:13" x14ac:dyDescent="0.25">
      <c r="A34" s="5"/>
      <c r="B34" s="21">
        <f>SUM(B24:B33)</f>
        <v>4501</v>
      </c>
      <c r="C34" s="19">
        <f t="shared" si="6"/>
        <v>1</v>
      </c>
      <c r="D34" s="22">
        <f>SUM(D24:D33)</f>
        <v>4267</v>
      </c>
      <c r="E34" s="19">
        <f t="shared" si="7"/>
        <v>1</v>
      </c>
      <c r="F34" s="21">
        <f>SUM(F24:F33)</f>
        <v>4497</v>
      </c>
      <c r="G34" s="19">
        <f t="shared" si="8"/>
        <v>1</v>
      </c>
      <c r="H34" s="22">
        <f>SUM(H24:H33)</f>
        <v>4680</v>
      </c>
      <c r="I34" s="19">
        <f t="shared" si="9"/>
        <v>1</v>
      </c>
      <c r="J34" s="22">
        <f>SUM(J24:J33)</f>
        <v>1357</v>
      </c>
      <c r="K34" s="19">
        <f t="shared" si="10"/>
        <v>1</v>
      </c>
      <c r="L34" s="22">
        <f>SUM(L24:L33)</f>
        <v>1589</v>
      </c>
      <c r="M34" s="19">
        <f t="shared" si="11"/>
        <v>1</v>
      </c>
    </row>
    <row r="35" spans="1:13" ht="15.75" thickBot="1" x14ac:dyDescent="0.3">
      <c r="A35" s="5"/>
      <c r="B35" s="12"/>
      <c r="C35" s="7"/>
      <c r="D35" s="8"/>
      <c r="E35" s="7"/>
      <c r="F35" s="12"/>
      <c r="G35" s="7"/>
      <c r="H35" s="8"/>
      <c r="I35" s="7"/>
      <c r="J35" s="8"/>
      <c r="K35" s="7"/>
      <c r="L35" s="8"/>
      <c r="M35" s="7"/>
    </row>
    <row r="36" spans="1:13" ht="16.5" thickTop="1" thickBot="1" x14ac:dyDescent="0.3">
      <c r="A36" s="1" t="s">
        <v>22</v>
      </c>
      <c r="B36" s="9"/>
      <c r="C36" s="10"/>
      <c r="D36" s="9"/>
      <c r="E36" s="10"/>
      <c r="F36" s="9"/>
      <c r="G36" s="11"/>
      <c r="H36" s="9"/>
      <c r="I36" s="11"/>
      <c r="J36" s="9"/>
      <c r="K36" s="11"/>
      <c r="L36" s="9"/>
      <c r="M36" s="11"/>
    </row>
    <row r="37" spans="1:13" ht="15.75" thickTop="1" x14ac:dyDescent="0.25">
      <c r="A37" s="5" t="s">
        <v>23</v>
      </c>
      <c r="B37" s="17">
        <f>[19]sc_credit_group_107!$B2</f>
        <v>1130</v>
      </c>
      <c r="C37" s="19">
        <f>$B37/$B$42</f>
        <v>0.25105532103976896</v>
      </c>
      <c r="D37" s="23">
        <f>[20]sc_credit_group_117!$B2</f>
        <v>937</v>
      </c>
      <c r="E37" s="19">
        <f>$D37/$D$42</f>
        <v>0.21959221935786266</v>
      </c>
      <c r="F37" s="17">
        <f>[21]sc_credit_group_113!$B2</f>
        <v>1115</v>
      </c>
      <c r="G37" s="19">
        <f>$F37/$F$42</f>
        <v>0.24794307315988437</v>
      </c>
      <c r="H37" s="17">
        <f>[22]sc_credit_group_123!$B2</f>
        <v>1095</v>
      </c>
      <c r="I37" s="19">
        <f>$H37/$H$42</f>
        <v>0.23397435897435898</v>
      </c>
      <c r="J37" s="17">
        <f>[23]sc_credit_group_115!$B2</f>
        <v>1031</v>
      </c>
      <c r="K37" s="19">
        <f>$J37/$J$42</f>
        <v>0.75976418570375825</v>
      </c>
      <c r="L37" s="17">
        <f>[24]sc_credit_group_125!$B2</f>
        <v>1184</v>
      </c>
      <c r="M37" s="19">
        <f>$L37/$L$42</f>
        <v>0.74512271869100066</v>
      </c>
    </row>
    <row r="38" spans="1:13" x14ac:dyDescent="0.25">
      <c r="A38" s="5" t="s">
        <v>24</v>
      </c>
      <c r="B38" s="23">
        <f>[19]sc_credit_group_107!$B3</f>
        <v>1318</v>
      </c>
      <c r="C38" s="19">
        <f>$B38/$B$42</f>
        <v>0.29282381692957121</v>
      </c>
      <c r="D38" s="23">
        <f>[20]sc_credit_group_117!$B3</f>
        <v>1316</v>
      </c>
      <c r="E38" s="19">
        <f>$D38/$D$42</f>
        <v>0.30841340520271854</v>
      </c>
      <c r="F38" s="23">
        <f>[21]sc_credit_group_113!$B3</f>
        <v>1350</v>
      </c>
      <c r="G38" s="19">
        <f>$F38/$F$42</f>
        <v>0.30020013342228152</v>
      </c>
      <c r="H38" s="23">
        <f>[22]sc_credit_group_123!$B3</f>
        <v>1381</v>
      </c>
      <c r="I38" s="19">
        <f>$H38/$H$42</f>
        <v>0.29508547008547009</v>
      </c>
      <c r="J38" s="23">
        <f>[23]sc_credit_group_115!$B3</f>
        <v>324</v>
      </c>
      <c r="K38" s="19">
        <f>$J38/$J$42</f>
        <v>0.23876197494473103</v>
      </c>
      <c r="L38" s="23">
        <f>[24]sc_credit_group_125!$B3</f>
        <v>404</v>
      </c>
      <c r="M38" s="19">
        <f>$L38/$L$42</f>
        <v>0.25424795468848332</v>
      </c>
    </row>
    <row r="39" spans="1:13" x14ac:dyDescent="0.25">
      <c r="A39" s="5" t="s">
        <v>25</v>
      </c>
      <c r="B39" s="23">
        <f>[19]sc_credit_group_107!$B4</f>
        <v>2053</v>
      </c>
      <c r="C39" s="19">
        <f>$B39/$B$42</f>
        <v>0.45612086203065988</v>
      </c>
      <c r="D39" s="23">
        <f>[20]sc_credit_group_117!$B4</f>
        <v>2014</v>
      </c>
      <c r="E39" s="19">
        <f>$D39/$D$42</f>
        <v>0.4719943754394188</v>
      </c>
      <c r="F39" s="23">
        <f>[21]sc_credit_group_113!$B4</f>
        <v>2032</v>
      </c>
      <c r="G39" s="19">
        <f>$F39/$F$42</f>
        <v>0.45185679341783413</v>
      </c>
      <c r="H39" s="23">
        <f>[22]sc_credit_group_123!$B4</f>
        <v>2204</v>
      </c>
      <c r="I39" s="19">
        <f>$H39/$H$42</f>
        <v>0.47094017094017093</v>
      </c>
      <c r="J39" s="23">
        <f>[23]sc_credit_group_115!$B4</f>
        <v>2</v>
      </c>
      <c r="K39" s="19">
        <f>$J39/$J$42</f>
        <v>1.4738393515106854E-3</v>
      </c>
      <c r="L39" s="23">
        <f>[24]sc_credit_group_125!$B4</f>
        <v>1</v>
      </c>
      <c r="M39" s="19">
        <f>$L39/$L$42</f>
        <v>6.2932662051604787E-4</v>
      </c>
    </row>
    <row r="40" spans="1:13" x14ac:dyDescent="0.25">
      <c r="A40" s="5"/>
      <c r="B40" s="8"/>
      <c r="C40" s="25">
        <f>$B42/$B$42</f>
        <v>1</v>
      </c>
      <c r="D40" s="8"/>
      <c r="E40" s="25">
        <f>$D42/$D$42</f>
        <v>1</v>
      </c>
      <c r="F40" s="8"/>
      <c r="G40" s="26">
        <f>$F42/$F$42</f>
        <v>1</v>
      </c>
      <c r="H40" s="8"/>
      <c r="I40" s="26">
        <f>$H42/$H$42</f>
        <v>1</v>
      </c>
      <c r="J40" s="8"/>
      <c r="K40" s="26">
        <f>$J42/$J$42</f>
        <v>1</v>
      </c>
      <c r="L40" s="8"/>
      <c r="M40" s="26">
        <f>$L42/$L$42</f>
        <v>1</v>
      </c>
    </row>
    <row r="41" spans="1:13" ht="15.75" thickBot="1" x14ac:dyDescent="0.3">
      <c r="A41" s="5"/>
      <c r="B41" s="8"/>
      <c r="C41" s="7"/>
      <c r="D41" s="8"/>
      <c r="E41" s="7"/>
      <c r="F41" s="8"/>
      <c r="G41" s="7"/>
      <c r="H41" s="8"/>
      <c r="I41" s="7"/>
      <c r="J41" s="8"/>
      <c r="K41" s="7"/>
      <c r="L41" s="8"/>
      <c r="M41" s="7"/>
    </row>
    <row r="42" spans="1:13" ht="16.5" thickTop="1" thickBot="1" x14ac:dyDescent="0.3">
      <c r="A42" s="1" t="s">
        <v>26</v>
      </c>
      <c r="B42" s="27">
        <f>SUM(B37:B39)</f>
        <v>4501</v>
      </c>
      <c r="C42" s="14"/>
      <c r="D42" s="27">
        <f>SUM(D37:D39)</f>
        <v>4267</v>
      </c>
      <c r="E42" s="14"/>
      <c r="F42" s="27">
        <f>SUM(F37:F39)</f>
        <v>4497</v>
      </c>
      <c r="G42" s="14"/>
      <c r="H42" s="27">
        <f>SUM(H37:H39)</f>
        <v>4680</v>
      </c>
      <c r="I42" s="14"/>
      <c r="J42" s="27">
        <f>SUM(J37:J39)</f>
        <v>1357</v>
      </c>
      <c r="K42" s="14"/>
      <c r="L42" s="27">
        <f>SUM(L37:L39)</f>
        <v>1589</v>
      </c>
      <c r="M42" s="14"/>
    </row>
    <row r="43" spans="1:13" ht="15.75" thickTop="1" x14ac:dyDescent="0.25"/>
    <row r="44" spans="1:13" x14ac:dyDescent="0.25">
      <c r="A44" t="s">
        <v>33</v>
      </c>
    </row>
    <row r="45" spans="1:13" x14ac:dyDescent="0.25">
      <c r="A45" t="s">
        <v>29</v>
      </c>
    </row>
    <row r="46" spans="1:13" x14ac:dyDescent="0.25">
      <c r="A46" t="s">
        <v>30</v>
      </c>
    </row>
    <row r="47" spans="1:13" x14ac:dyDescent="0.25">
      <c r="A47" t="s">
        <v>31</v>
      </c>
    </row>
    <row r="48" spans="1:13" x14ac:dyDescent="0.25">
      <c r="A48" t="s">
        <v>32</v>
      </c>
    </row>
  </sheetData>
  <mergeCells count="7">
    <mergeCell ref="F1:G2"/>
    <mergeCell ref="H1:I2"/>
    <mergeCell ref="J1:K2"/>
    <mergeCell ref="L1:M2"/>
    <mergeCell ref="A1:A2"/>
    <mergeCell ref="B1:C2"/>
    <mergeCell ref="D1:E2"/>
  </mergeCells>
  <pageMargins left="0.7" right="0.7" top="0.75" bottom="0.75" header="0.3" footer="0.3"/>
  <pageSetup scale="70" orientation="landscape" horizontalDpi="1200" verticalDpi="1200" r:id="rId1"/>
  <headerFooter>
    <oddHeader>&amp;R&amp;D</oddHeader>
    <oddFooter>&amp;L20111116&amp;RVVC :: Institutional Research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DE_qf</vt:lpstr>
    </vt:vector>
  </TitlesOfParts>
  <Company>Victor Valley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jl</cp:lastModifiedBy>
  <cp:lastPrinted>2013-01-31T19:24:02Z</cp:lastPrinted>
  <dcterms:created xsi:type="dcterms:W3CDTF">2011-11-16T22:30:25Z</dcterms:created>
  <dcterms:modified xsi:type="dcterms:W3CDTF">2013-02-01T01:04:45Z</dcterms:modified>
</cp:coreProperties>
</file>